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1560" yWindow="1560" windowWidth="21600" windowHeight="11388" activeTab="2"/>
  </bookViews>
  <sheets>
    <sheet name="CONDUCTOR" sheetId="1" r:id="rId1"/>
    <sheet name="ESTRUCTURAS" sheetId="2" r:id="rId2"/>
    <sheet name="MATERIALES" sheetId="3" r:id="rId3"/>
  </sheets>
  <definedNames>
    <definedName name="_xlnm.Print_Area" localSheetId="2">'MATERIALES'!$B$3:$I$37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<sst xmlns="http://schemas.openxmlformats.org/spreadsheetml/2006/main" count="390" uniqueCount="139">
  <si>
    <t>De</t>
  </si>
  <si>
    <t>Hasta</t>
  </si>
  <si>
    <t>Distancia (mts)</t>
  </si>
  <si>
    <t>POSTE</t>
  </si>
  <si>
    <t>Estructura MT</t>
  </si>
  <si>
    <t>Estructura BT</t>
  </si>
  <si>
    <t>TENSOR</t>
  </si>
  <si>
    <t>Seccionador</t>
  </si>
  <si>
    <t>Trafo</t>
  </si>
  <si>
    <t>Luminaria</t>
  </si>
  <si>
    <t>Acometida</t>
  </si>
  <si>
    <t>Conductor ACSR 2</t>
  </si>
  <si>
    <t>Subtotal</t>
  </si>
  <si>
    <t>Multiplex 3x6</t>
  </si>
  <si>
    <t>TIPO</t>
  </si>
  <si>
    <t>FV</t>
  </si>
  <si>
    <t>ALTURA</t>
  </si>
  <si>
    <t>ITEM</t>
  </si>
  <si>
    <t>KGF</t>
  </si>
  <si>
    <t>1EP</t>
  </si>
  <si>
    <t>1ER</t>
  </si>
  <si>
    <t>TOTAL</t>
  </si>
  <si>
    <t>Conteo de estructuras</t>
  </si>
  <si>
    <t>Descripción</t>
  </si>
  <si>
    <t>Postes 12m FV 500 kgf</t>
  </si>
  <si>
    <t>Postes 10m FV 400 kgf</t>
  </si>
  <si>
    <t>Suma 1</t>
  </si>
  <si>
    <t>Suma 2</t>
  </si>
  <si>
    <t>Conductor TTU # 1/0</t>
  </si>
  <si>
    <t>Conductor TTU # 3/0</t>
  </si>
  <si>
    <t>Item</t>
  </si>
  <si>
    <t>Mano de Obra</t>
  </si>
  <si>
    <t>Suministro y tendido de conductor ACSR, 2AWG</t>
  </si>
  <si>
    <t>Cantidad</t>
  </si>
  <si>
    <t>mts</t>
  </si>
  <si>
    <t>Unidad</t>
  </si>
  <si>
    <t>P. U Materiales</t>
  </si>
  <si>
    <t>Subtotal Mat</t>
  </si>
  <si>
    <t xml:space="preserve">Sub M.O </t>
  </si>
  <si>
    <t>U</t>
  </si>
  <si>
    <t>Suministro y montaje de puesta a tierra mediante electrodo activo químico</t>
  </si>
  <si>
    <t>Excavación de suelo para montaje de poste o tensor - terreno rocoso</t>
  </si>
  <si>
    <t>Excavación de suelo para montaje de puesta a tierra - terreno rocoso</t>
  </si>
  <si>
    <t>Subtotal M.O</t>
  </si>
  <si>
    <t>Sub 1+2</t>
  </si>
  <si>
    <t>IVA 12%</t>
  </si>
  <si>
    <t>TAT-0TS</t>
  </si>
  <si>
    <t>Suministro, montaje e instalacion de acometida bifásica en bajo voltaje 240-120V directa</t>
  </si>
  <si>
    <t>Desmontaje y desalojo de red baja tensión (incluye: conductor, herrajes, aisladores y luminaria)</t>
  </si>
  <si>
    <t>12m</t>
  </si>
  <si>
    <t>1ED</t>
  </si>
  <si>
    <t>Pararrayos</t>
  </si>
  <si>
    <t>Desperdicio 1,5%</t>
  </si>
  <si>
    <t>Conductor Concentrico de Cobre 2x4(4)</t>
  </si>
  <si>
    <t># Acometidas</t>
  </si>
  <si>
    <t>Distancia promedio de acometida</t>
  </si>
  <si>
    <t>Suministro y montaje de poste de fibra de vidrio de 12 metros, 500 kgf</t>
  </si>
  <si>
    <t>1 Secc</t>
  </si>
  <si>
    <t>excav Postes</t>
  </si>
  <si>
    <t>excav PT</t>
  </si>
  <si>
    <t>Retiro y desalojo de poste de hormigón</t>
  </si>
  <si>
    <t>Conductor Preensamblado 2x35(35)</t>
  </si>
  <si>
    <t>TAD-0TS</t>
  </si>
  <si>
    <t>Suministro y tendido de cable preensamblado 2x35+1x35 mm2</t>
  </si>
  <si>
    <t>Suministro y montaje de poste de fibra de vidrio de 10 metros, 400 kgf</t>
  </si>
  <si>
    <t>Desbroce de vegetacion</t>
  </si>
  <si>
    <t>km</t>
  </si>
  <si>
    <t>1CDT</t>
  </si>
  <si>
    <t>90W</t>
  </si>
  <si>
    <t>10 kVA</t>
  </si>
  <si>
    <t>1 Pararrayos</t>
  </si>
  <si>
    <t>1CPT</t>
  </si>
  <si>
    <t>1CAT</t>
  </si>
  <si>
    <t xml:space="preserve">10 kVA </t>
  </si>
  <si>
    <t>Suministro y montaje de Estructura EST-1CDT 15kV</t>
  </si>
  <si>
    <t>Suministro y montaje de Estructura EST-1CPT 15kV</t>
  </si>
  <si>
    <t>Suministro y montaje de Estructura EST-1CAT 15kV</t>
  </si>
  <si>
    <t>Acometidas</t>
  </si>
  <si>
    <t>Suministro, montaje e instalacion de abrazadera para acometidas simple</t>
  </si>
  <si>
    <t>Suministro, montaje e instalación transformador auto. 1F, 10 kVA</t>
  </si>
  <si>
    <t>3(TAT-0TS)</t>
  </si>
  <si>
    <t>1EP+1ER</t>
  </si>
  <si>
    <t>10m</t>
  </si>
  <si>
    <t>2(1CRT)</t>
  </si>
  <si>
    <t>2(1ER)</t>
  </si>
  <si>
    <t>2(TAT-0TS)</t>
  </si>
  <si>
    <t>1CRT</t>
  </si>
  <si>
    <t>3(TAT-0TS</t>
  </si>
  <si>
    <t>Suministro y montaje de Estructura EST-1CRT 15kV</t>
  </si>
  <si>
    <t>Retiro y desalojo de poste de madera o fibra</t>
  </si>
  <si>
    <t>P14</t>
  </si>
  <si>
    <t>P15</t>
  </si>
  <si>
    <t>P16</t>
  </si>
  <si>
    <t>P17</t>
  </si>
  <si>
    <t>P18</t>
  </si>
  <si>
    <t>P19</t>
  </si>
  <si>
    <t>P20</t>
  </si>
  <si>
    <t>P21</t>
  </si>
  <si>
    <t>P22</t>
  </si>
  <si>
    <t>P23</t>
  </si>
  <si>
    <t>P24</t>
  </si>
  <si>
    <t>P25</t>
  </si>
  <si>
    <t>P26</t>
  </si>
  <si>
    <t>P27</t>
  </si>
  <si>
    <t>P28</t>
  </si>
  <si>
    <t>P29</t>
  </si>
  <si>
    <t>P30</t>
  </si>
  <si>
    <t>P31</t>
  </si>
  <si>
    <t>P32</t>
  </si>
  <si>
    <t>P33</t>
  </si>
  <si>
    <t>P34</t>
  </si>
  <si>
    <t>P35</t>
  </si>
  <si>
    <t>P36</t>
  </si>
  <si>
    <t>P37</t>
  </si>
  <si>
    <t>P38</t>
  </si>
  <si>
    <t>P39</t>
  </si>
  <si>
    <t>P40</t>
  </si>
  <si>
    <t>P41</t>
  </si>
  <si>
    <t>P42</t>
  </si>
  <si>
    <t>P43</t>
  </si>
  <si>
    <t>P44</t>
  </si>
  <si>
    <t>P45</t>
  </si>
  <si>
    <t>P46</t>
  </si>
  <si>
    <t>2 Secc</t>
  </si>
  <si>
    <t>1CAT+1CRT</t>
  </si>
  <si>
    <t>TAT-0TS+TAD-0TS</t>
  </si>
  <si>
    <t xml:space="preserve">Seccionador 1F </t>
  </si>
  <si>
    <t>Desmontaje y desalojo de transformador aéreo</t>
  </si>
  <si>
    <t>PRESUPUESTO PROYECTO CERRO VERDE</t>
  </si>
  <si>
    <t>PROYECTO CERRO VERDE</t>
  </si>
  <si>
    <t>Suministro, montaje e instalación de luminaria autocontrolada tipo LED de 110W</t>
  </si>
  <si>
    <t>Suministro, montaje e instalacion de medidor bifasico Radio Frecuencia bajo voltaje 220-127V // 240-120V</t>
  </si>
  <si>
    <t>Suministro, montaje e instalación de seccionamiento con fusible para una fase (incluye cruceta y sin parrayos)</t>
  </si>
  <si>
    <t>Anexo # 2</t>
  </si>
  <si>
    <t>Suministro y montaje  tensor a tierra simple 13.8 kV</t>
  </si>
  <si>
    <t>Suministro y montaje  tensor a tierra simple 240 V</t>
  </si>
  <si>
    <t>Suministro y montaje de Estructura EST-1EP 240V</t>
  </si>
  <si>
    <t>Suministro y montaje de Estructura EST-1ER 240V</t>
  </si>
  <si>
    <t>Suministro y montaje de Estructura EST-1ED 240V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</si>
</sst>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4" formatCode="0.0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29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Fill="1"/>
    <xf numFmtId="2" fontId="0" fillId="0" borderId="0" xfId="0" applyNumberFormat="1"/>
    <xf numFmtId="0" fontId="2" fillId="0" borderId="0" xfId="0" applyFont="1" applyAlignment="1">
      <alignment/>
    </xf>
    <xf numFmtId="0" fontId="2" fillId="0" borderId="1" xfId="0" applyFont="1" applyBorder="1"/>
    <xf numFmtId="0" fontId="0" fillId="0" borderId="1" xfId="0" applyBorder="1"/>
    <xf numFmtId="2" fontId="0" fillId="0" borderId="1" xfId="0" applyNumberFormat="1" applyBorder="1"/>
    <xf numFmtId="43" fontId="2" fillId="0" borderId="1" xfId="20" applyFont="1" applyBorder="1"/>
    <xf numFmtId="0" fontId="0" fillId="0" borderId="1" xfId="0" applyFill="1" applyBorder="1"/>
    <xf numFmtId="2" fontId="0" fillId="0" borderId="1" xfId="0" applyNumberFormat="1" applyFill="1" applyBorder="1"/>
    <xf numFmtId="0" fontId="0" fillId="0" borderId="0" xfId="0" applyFill="1"/>
    <xf numFmtId="0" fontId="2" fillId="0" borderId="2" xfId="0" applyFont="1" applyBorder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164" fontId="0" fillId="0" borderId="0" xfId="0" applyNumberFormat="1"/>
    <xf numFmtId="0" fontId="0" fillId="2" borderId="1" xfId="0" applyFill="1" applyBorder="1"/>
    <xf numFmtId="2" fontId="0" fillId="2" borderId="1" xfId="0" applyNumberFormat="1" applyFill="1" applyBorder="1"/>
    <xf numFmtId="0" fontId="0" fillId="2" borderId="0" xfId="0" applyFill="1"/>
    <xf numFmtId="0" fontId="0" fillId="2" borderId="1" xfId="0" applyFill="1" applyBorder="1" applyAlignment="1">
      <alignment wrapText="1"/>
    </xf>
    <xf numFmtId="43" fontId="2" fillId="0" borderId="2" xfId="20" applyFont="1" applyBorder="1"/>
    <xf numFmtId="0" fontId="0" fillId="0" borderId="0" xfId="0" applyFont="1"/>
    <xf numFmtId="0" fontId="3" fillId="2" borderId="1" xfId="0" applyFont="1" applyFill="1" applyBorder="1"/>
    <xf numFmtId="2" fontId="3" fillId="2" borderId="1" xfId="0" applyNumberFormat="1" applyFont="1" applyFill="1" applyBorder="1"/>
    <xf numFmtId="0" fontId="3" fillId="2" borderId="0" xfId="0" applyFont="1" applyFill="1"/>
    <xf numFmtId="0" fontId="4" fillId="0" borderId="0" xfId="0" applyFont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42"/>
  <sheetViews>
    <sheetView workbookViewId="0" topLeftCell="A1">
      <selection activeCell="G32" sqref="G32"/>
    </sheetView>
  </sheetViews>
  <sheetFormatPr defaultColWidth="11.421875" defaultRowHeight="15"/>
  <cols>
    <col min="4" max="4" width="15.28125" style="0" customWidth="1"/>
    <col min="5" max="5" width="19.140625" style="0" customWidth="1"/>
    <col min="6" max="6" width="32.8515625" style="0" bestFit="1" customWidth="1"/>
    <col min="7" max="7" width="32.7109375" style="0" customWidth="1"/>
    <col min="8" max="8" width="13.140625" style="0" hidden="1" customWidth="1"/>
    <col min="9" max="9" width="18.421875" style="0" hidden="1" customWidth="1"/>
    <col min="10" max="10" width="18.8515625" style="0" hidden="1" customWidth="1"/>
    <col min="11" max="11" width="11.421875" style="0" hidden="1" customWidth="1"/>
  </cols>
  <sheetData>
    <row r="1" spans="2:5" ht="15">
      <c r="B1" s="27" t="s">
        <v>129</v>
      </c>
      <c r="C1" s="27"/>
      <c r="D1" s="27"/>
      <c r="E1" s="27"/>
    </row>
    <row r="2" spans="2:10" ht="15">
      <c r="B2" s="1" t="s">
        <v>0</v>
      </c>
      <c r="C2" s="1" t="s">
        <v>1</v>
      </c>
      <c r="D2" s="1" t="s">
        <v>2</v>
      </c>
      <c r="E2" s="1" t="s">
        <v>11</v>
      </c>
      <c r="F2" s="1" t="s">
        <v>61</v>
      </c>
      <c r="G2" s="1"/>
      <c r="H2" s="1" t="s">
        <v>13</v>
      </c>
      <c r="I2" s="1" t="s">
        <v>28</v>
      </c>
      <c r="J2" s="1" t="s">
        <v>29</v>
      </c>
    </row>
    <row r="3" spans="2:5" s="22" customFormat="1" ht="15">
      <c r="B3" s="22" t="s">
        <v>90</v>
      </c>
      <c r="C3" s="22" t="s">
        <v>91</v>
      </c>
      <c r="D3" s="22">
        <v>114</v>
      </c>
      <c r="E3" s="22">
        <f>+D3*2</f>
        <v>228</v>
      </c>
    </row>
    <row r="4" spans="2:5" s="22" customFormat="1" ht="15">
      <c r="B4" s="22" t="s">
        <v>91</v>
      </c>
      <c r="C4" s="22" t="s">
        <v>92</v>
      </c>
      <c r="D4" s="22">
        <v>115</v>
      </c>
      <c r="E4" s="22">
        <f aca="true" t="shared" si="0" ref="E4:E34">+D4*2</f>
        <v>230</v>
      </c>
    </row>
    <row r="5" spans="2:5" s="22" customFormat="1" ht="15">
      <c r="B5" s="22" t="s">
        <v>92</v>
      </c>
      <c r="C5" s="22" t="s">
        <v>93</v>
      </c>
      <c r="D5" s="22">
        <v>115</v>
      </c>
      <c r="E5" s="22">
        <f t="shared" si="0"/>
        <v>230</v>
      </c>
    </row>
    <row r="6" spans="2:5" s="22" customFormat="1" ht="15">
      <c r="B6" s="22" t="s">
        <v>93</v>
      </c>
      <c r="C6" s="22" t="s">
        <v>94</v>
      </c>
      <c r="D6" s="22">
        <v>115</v>
      </c>
      <c r="E6" s="22">
        <f t="shared" si="0"/>
        <v>230</v>
      </c>
    </row>
    <row r="7" spans="2:5" s="22" customFormat="1" ht="15">
      <c r="B7" s="22" t="s">
        <v>94</v>
      </c>
      <c r="C7" s="22" t="s">
        <v>95</v>
      </c>
      <c r="D7" s="22">
        <v>90</v>
      </c>
      <c r="E7" s="22">
        <f t="shared" si="0"/>
        <v>180</v>
      </c>
    </row>
    <row r="8" spans="2:5" s="22" customFormat="1" ht="15">
      <c r="B8" s="22" t="s">
        <v>95</v>
      </c>
      <c r="C8" s="22" t="s">
        <v>96</v>
      </c>
      <c r="D8" s="22">
        <v>88</v>
      </c>
      <c r="E8" s="22">
        <f t="shared" si="0"/>
        <v>176</v>
      </c>
    </row>
    <row r="9" spans="2:5" s="22" customFormat="1" ht="15">
      <c r="B9" s="22" t="s">
        <v>91</v>
      </c>
      <c r="C9" s="22" t="s">
        <v>97</v>
      </c>
      <c r="D9" s="22">
        <v>112</v>
      </c>
      <c r="E9" s="22">
        <f t="shared" si="0"/>
        <v>224</v>
      </c>
    </row>
    <row r="10" spans="2:5" s="22" customFormat="1" ht="15">
      <c r="B10" s="22" t="s">
        <v>97</v>
      </c>
      <c r="C10" s="22" t="s">
        <v>98</v>
      </c>
      <c r="D10" s="22">
        <v>112</v>
      </c>
      <c r="E10" s="22">
        <f t="shared" si="0"/>
        <v>224</v>
      </c>
    </row>
    <row r="11" spans="2:5" s="22" customFormat="1" ht="15">
      <c r="B11" s="22" t="s">
        <v>98</v>
      </c>
      <c r="C11" s="22" t="s">
        <v>99</v>
      </c>
      <c r="D11" s="22">
        <v>111</v>
      </c>
      <c r="E11" s="22">
        <f t="shared" si="0"/>
        <v>222</v>
      </c>
    </row>
    <row r="12" spans="2:5" s="22" customFormat="1" ht="15">
      <c r="B12" s="22" t="s">
        <v>99</v>
      </c>
      <c r="C12" s="22" t="s">
        <v>100</v>
      </c>
      <c r="D12" s="22">
        <v>122</v>
      </c>
      <c r="E12" s="22">
        <f t="shared" si="0"/>
        <v>244</v>
      </c>
    </row>
    <row r="13" spans="2:5" ht="15">
      <c r="B13" s="22" t="s">
        <v>100</v>
      </c>
      <c r="C13" s="22" t="s">
        <v>101</v>
      </c>
      <c r="D13" s="22">
        <v>122</v>
      </c>
      <c r="E13" s="22">
        <f t="shared" si="0"/>
        <v>244</v>
      </c>
    </row>
    <row r="14" spans="2:5" ht="15">
      <c r="B14" s="22" t="s">
        <v>101</v>
      </c>
      <c r="C14" s="22" t="s">
        <v>102</v>
      </c>
      <c r="D14" s="22">
        <v>90</v>
      </c>
      <c r="E14" s="22">
        <f t="shared" si="0"/>
        <v>180</v>
      </c>
    </row>
    <row r="15" spans="2:5" ht="15">
      <c r="B15" s="22" t="s">
        <v>102</v>
      </c>
      <c r="C15" s="22" t="s">
        <v>103</v>
      </c>
      <c r="D15" s="22">
        <v>90</v>
      </c>
      <c r="E15" s="22">
        <f t="shared" si="0"/>
        <v>180</v>
      </c>
    </row>
    <row r="16" spans="2:5" ht="15">
      <c r="B16" s="22" t="s">
        <v>103</v>
      </c>
      <c r="C16" s="22" t="s">
        <v>104</v>
      </c>
      <c r="D16" s="22">
        <v>86</v>
      </c>
      <c r="E16" s="22">
        <f t="shared" si="0"/>
        <v>172</v>
      </c>
    </row>
    <row r="17" spans="2:5" ht="15">
      <c r="B17" s="22" t="s">
        <v>104</v>
      </c>
      <c r="C17" s="22" t="s">
        <v>105</v>
      </c>
      <c r="D17" s="22">
        <v>122</v>
      </c>
      <c r="E17" s="22">
        <f t="shared" si="0"/>
        <v>244</v>
      </c>
    </row>
    <row r="18" spans="2:5" ht="15">
      <c r="B18" s="22" t="s">
        <v>105</v>
      </c>
      <c r="C18" s="22" t="s">
        <v>106</v>
      </c>
      <c r="D18" s="22">
        <v>123</v>
      </c>
      <c r="E18" s="22">
        <f t="shared" si="0"/>
        <v>246</v>
      </c>
    </row>
    <row r="19" spans="2:5" ht="15">
      <c r="B19" s="22" t="s">
        <v>106</v>
      </c>
      <c r="C19" s="22" t="s">
        <v>107</v>
      </c>
      <c r="D19" s="22">
        <v>106</v>
      </c>
      <c r="E19" s="22">
        <f t="shared" si="0"/>
        <v>212</v>
      </c>
    </row>
    <row r="20" spans="2:5" ht="15">
      <c r="B20" s="22" t="s">
        <v>107</v>
      </c>
      <c r="C20" s="22" t="s">
        <v>108</v>
      </c>
      <c r="D20" s="22">
        <v>107</v>
      </c>
      <c r="E20" s="22">
        <f t="shared" si="0"/>
        <v>214</v>
      </c>
    </row>
    <row r="21" spans="2:5" ht="15">
      <c r="B21" s="22" t="s">
        <v>108</v>
      </c>
      <c r="C21" s="22" t="s">
        <v>109</v>
      </c>
      <c r="D21" s="22">
        <v>118</v>
      </c>
      <c r="E21" s="22">
        <f t="shared" si="0"/>
        <v>236</v>
      </c>
    </row>
    <row r="22" spans="2:5" ht="15">
      <c r="B22" s="22" t="s">
        <v>109</v>
      </c>
      <c r="C22" s="22" t="s">
        <v>110</v>
      </c>
      <c r="D22" s="22">
        <v>118</v>
      </c>
      <c r="E22" s="22">
        <f t="shared" si="0"/>
        <v>236</v>
      </c>
    </row>
    <row r="23" spans="2:5" ht="15">
      <c r="B23" s="22" t="s">
        <v>110</v>
      </c>
      <c r="C23" s="22" t="s">
        <v>111</v>
      </c>
      <c r="D23" s="22">
        <v>117</v>
      </c>
      <c r="E23" s="22">
        <f t="shared" si="0"/>
        <v>234</v>
      </c>
    </row>
    <row r="24" spans="2:5" ht="15">
      <c r="B24" s="22" t="s">
        <v>111</v>
      </c>
      <c r="C24" s="22" t="s">
        <v>112</v>
      </c>
      <c r="D24" s="22">
        <v>106</v>
      </c>
      <c r="E24" s="22">
        <f t="shared" si="0"/>
        <v>212</v>
      </c>
    </row>
    <row r="25" spans="2:5" ht="15">
      <c r="B25" s="22" t="s">
        <v>112</v>
      </c>
      <c r="C25" s="22" t="s">
        <v>113</v>
      </c>
      <c r="D25" s="22">
        <v>106</v>
      </c>
      <c r="E25" s="22">
        <f t="shared" si="0"/>
        <v>212</v>
      </c>
    </row>
    <row r="26" spans="2:5" ht="15">
      <c r="B26" s="22" t="s">
        <v>113</v>
      </c>
      <c r="C26" s="22" t="s">
        <v>114</v>
      </c>
      <c r="D26" s="22">
        <v>105</v>
      </c>
      <c r="E26" s="22">
        <f t="shared" si="0"/>
        <v>210</v>
      </c>
    </row>
    <row r="27" spans="2:5" ht="15">
      <c r="B27" s="22" t="s">
        <v>114</v>
      </c>
      <c r="C27" s="22" t="s">
        <v>115</v>
      </c>
      <c r="D27" s="22">
        <v>107</v>
      </c>
      <c r="E27" s="22">
        <f t="shared" si="0"/>
        <v>214</v>
      </c>
    </row>
    <row r="28" spans="2:5" ht="15">
      <c r="B28" s="22" t="s">
        <v>115</v>
      </c>
      <c r="C28" s="22" t="s">
        <v>116</v>
      </c>
      <c r="D28" s="22">
        <v>107</v>
      </c>
      <c r="E28" s="22">
        <f t="shared" si="0"/>
        <v>214</v>
      </c>
    </row>
    <row r="29" spans="2:5" ht="15">
      <c r="B29" s="22" t="s">
        <v>116</v>
      </c>
      <c r="C29" s="22" t="s">
        <v>117</v>
      </c>
      <c r="D29" s="22">
        <v>107</v>
      </c>
      <c r="E29" s="22">
        <f t="shared" si="0"/>
        <v>214</v>
      </c>
    </row>
    <row r="30" spans="2:5" ht="15">
      <c r="B30" s="22" t="s">
        <v>117</v>
      </c>
      <c r="C30" s="22" t="s">
        <v>118</v>
      </c>
      <c r="D30" s="22">
        <v>107</v>
      </c>
      <c r="E30" s="22">
        <f t="shared" si="0"/>
        <v>214</v>
      </c>
    </row>
    <row r="31" spans="2:5" ht="15">
      <c r="B31" s="22" t="s">
        <v>118</v>
      </c>
      <c r="C31" s="22" t="s">
        <v>119</v>
      </c>
      <c r="D31" s="22">
        <v>106</v>
      </c>
      <c r="E31" s="22">
        <f t="shared" si="0"/>
        <v>212</v>
      </c>
    </row>
    <row r="32" spans="2:5" ht="15">
      <c r="B32" s="22" t="s">
        <v>119</v>
      </c>
      <c r="C32" s="22" t="s">
        <v>120</v>
      </c>
      <c r="D32" s="22">
        <v>75</v>
      </c>
      <c r="E32" s="22">
        <f t="shared" si="0"/>
        <v>150</v>
      </c>
    </row>
    <row r="33" spans="2:6" ht="15">
      <c r="B33" s="22" t="s">
        <v>120</v>
      </c>
      <c r="C33" s="22" t="s">
        <v>121</v>
      </c>
      <c r="D33" s="22">
        <v>75</v>
      </c>
      <c r="E33" s="22">
        <f t="shared" si="0"/>
        <v>150</v>
      </c>
      <c r="F33">
        <f aca="true" t="shared" si="1" ref="F33">+D33</f>
        <v>75</v>
      </c>
    </row>
    <row r="34" spans="2:6" ht="15">
      <c r="B34" s="22" t="s">
        <v>121</v>
      </c>
      <c r="C34" s="22" t="s">
        <v>122</v>
      </c>
      <c r="D34" s="22">
        <v>55</v>
      </c>
      <c r="E34" s="22">
        <f t="shared" si="0"/>
        <v>110</v>
      </c>
      <c r="F34">
        <f>+D34</f>
        <v>55</v>
      </c>
    </row>
    <row r="35" spans="4:10" ht="15">
      <c r="D35" s="15" t="s">
        <v>12</v>
      </c>
      <c r="E35" s="16">
        <f>SUM(E3:E34)</f>
        <v>6698</v>
      </c>
      <c r="F35" s="16">
        <f>SUM(F3:F34)</f>
        <v>130</v>
      </c>
      <c r="G35" s="16"/>
      <c r="H35" s="16" t="e">
        <f>SUM(#REF!)</f>
        <v>#REF!</v>
      </c>
      <c r="I35" s="16" t="e">
        <f>SUM(#REF!)</f>
        <v>#REF!</v>
      </c>
      <c r="J35" s="16" t="e">
        <f>SUM(#REF!)</f>
        <v>#REF!</v>
      </c>
    </row>
    <row r="36" spans="4:10" ht="15">
      <c r="D36" t="s">
        <v>52</v>
      </c>
      <c r="E36" s="16">
        <f>+E35*0.015</f>
        <v>100.47</v>
      </c>
      <c r="F36" s="16">
        <f aca="true" t="shared" si="2" ref="F36:H36">+F35*0.015</f>
        <v>1.95</v>
      </c>
      <c r="G36" s="16"/>
      <c r="H36" s="16" t="e">
        <f t="shared" si="2"/>
        <v>#REF!</v>
      </c>
      <c r="I36" s="16"/>
      <c r="J36" s="16"/>
    </row>
    <row r="37" spans="4:10" ht="15">
      <c r="D37" t="s">
        <v>21</v>
      </c>
      <c r="E37" s="16">
        <f>+E35+E36</f>
        <v>6798.47</v>
      </c>
      <c r="F37" s="16">
        <f aca="true" t="shared" si="3" ref="F37:J37">+F35+F36</f>
        <v>131.95</v>
      </c>
      <c r="G37" s="16"/>
      <c r="H37" s="16" t="e">
        <f t="shared" si="3"/>
        <v>#REF!</v>
      </c>
      <c r="I37" s="16" t="e">
        <f t="shared" si="3"/>
        <v>#REF!</v>
      </c>
      <c r="J37" s="16" t="e">
        <f t="shared" si="3"/>
        <v>#REF!</v>
      </c>
    </row>
    <row r="39" ht="15">
      <c r="G39" s="1" t="s">
        <v>53</v>
      </c>
    </row>
    <row r="40" spans="6:7" ht="15">
      <c r="F40" t="s">
        <v>54</v>
      </c>
      <c r="G40">
        <v>4</v>
      </c>
    </row>
    <row r="41" spans="6:7" ht="15">
      <c r="F41" t="s">
        <v>55</v>
      </c>
      <c r="G41">
        <v>20</v>
      </c>
    </row>
    <row r="42" ht="15">
      <c r="G42">
        <f>+G40*G41</f>
        <v>80</v>
      </c>
    </row>
  </sheetData>
  <mergeCells count="1">
    <mergeCell ref="B1:E1"/>
  </mergeCells>
  <printOptions/>
  <pageMargins left="0.7" right="0.7" top="0.75" bottom="0.75" header="0.3" footer="0.3"/>
  <pageSetup horizontalDpi="300" verticalDpi="300" orientation="portrait" paperSize="2058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68"/>
  <sheetViews>
    <sheetView zoomScale="90" zoomScaleNormal="90" workbookViewId="0" topLeftCell="C1">
      <selection activeCell="I58" sqref="I58"/>
    </sheetView>
  </sheetViews>
  <sheetFormatPr defaultColWidth="11.421875" defaultRowHeight="15"/>
  <cols>
    <col min="3" max="3" width="12.28125" style="0" bestFit="1" customWidth="1"/>
    <col min="4" max="4" width="13.7109375" style="0" customWidth="1"/>
    <col min="5" max="5" width="11.00390625" style="0" bestFit="1" customWidth="1"/>
    <col min="6" max="6" width="10.140625" style="0" bestFit="1" customWidth="1"/>
    <col min="7" max="7" width="13.00390625" style="0" bestFit="1" customWidth="1"/>
    <col min="8" max="8" width="12.421875" style="0" bestFit="1" customWidth="1"/>
    <col min="9" max="9" width="16.421875" style="0" bestFit="1" customWidth="1"/>
    <col min="10" max="10" width="11.7109375" style="0" bestFit="1" customWidth="1"/>
    <col min="11" max="11" width="11.7109375" style="0" customWidth="1"/>
    <col min="12" max="12" width="8.00390625" style="0" bestFit="1" customWidth="1"/>
    <col min="13" max="13" width="9.7109375" style="0" bestFit="1" customWidth="1"/>
    <col min="14" max="14" width="10.57421875" style="0" bestFit="1" customWidth="1"/>
  </cols>
  <sheetData>
    <row r="2" spans="2:14" s="1" customFormat="1" ht="15">
      <c r="B2" s="1" t="s">
        <v>17</v>
      </c>
      <c r="C2" s="1" t="s">
        <v>16</v>
      </c>
      <c r="D2" s="1" t="s">
        <v>18</v>
      </c>
      <c r="E2" s="1" t="s">
        <v>3</v>
      </c>
      <c r="F2" s="1" t="s">
        <v>14</v>
      </c>
      <c r="G2" s="1" t="s">
        <v>4</v>
      </c>
      <c r="H2" s="1" t="s">
        <v>5</v>
      </c>
      <c r="I2" s="1" t="s">
        <v>6</v>
      </c>
      <c r="J2" s="1" t="s">
        <v>7</v>
      </c>
      <c r="K2" s="1" t="s">
        <v>51</v>
      </c>
      <c r="L2" s="1" t="s">
        <v>8</v>
      </c>
      <c r="M2" s="1" t="s">
        <v>9</v>
      </c>
      <c r="N2" s="1" t="s">
        <v>10</v>
      </c>
    </row>
    <row r="3" spans="2:10" ht="15">
      <c r="B3">
        <v>1</v>
      </c>
      <c r="C3" t="s">
        <v>49</v>
      </c>
      <c r="D3">
        <v>500</v>
      </c>
      <c r="E3" t="s">
        <v>90</v>
      </c>
      <c r="F3" t="s">
        <v>15</v>
      </c>
      <c r="G3" t="s">
        <v>67</v>
      </c>
      <c r="H3" t="s">
        <v>50</v>
      </c>
      <c r="I3" t="s">
        <v>85</v>
      </c>
      <c r="J3" t="s">
        <v>123</v>
      </c>
    </row>
    <row r="4" spans="2:10" ht="15">
      <c r="B4">
        <v>2</v>
      </c>
      <c r="C4" t="s">
        <v>49</v>
      </c>
      <c r="D4">
        <v>500</v>
      </c>
      <c r="E4" t="s">
        <v>91</v>
      </c>
      <c r="F4" t="s">
        <v>15</v>
      </c>
      <c r="G4" t="s">
        <v>124</v>
      </c>
      <c r="H4" t="s">
        <v>81</v>
      </c>
      <c r="I4" t="s">
        <v>46</v>
      </c>
      <c r="J4" t="s">
        <v>57</v>
      </c>
    </row>
    <row r="5" spans="2:9" ht="15">
      <c r="B5">
        <v>3</v>
      </c>
      <c r="C5" t="s">
        <v>49</v>
      </c>
      <c r="D5">
        <v>500</v>
      </c>
      <c r="E5" t="s">
        <v>92</v>
      </c>
      <c r="F5" t="s">
        <v>15</v>
      </c>
      <c r="G5" t="s">
        <v>71</v>
      </c>
      <c r="H5" t="s">
        <v>19</v>
      </c>
      <c r="I5" t="s">
        <v>46</v>
      </c>
    </row>
    <row r="6" spans="2:8" ht="15">
      <c r="B6">
        <v>4</v>
      </c>
      <c r="C6" t="s">
        <v>49</v>
      </c>
      <c r="D6">
        <v>500</v>
      </c>
      <c r="E6" t="s">
        <v>93</v>
      </c>
      <c r="F6" t="s">
        <v>15</v>
      </c>
      <c r="G6" t="s">
        <v>71</v>
      </c>
      <c r="H6" t="s">
        <v>19</v>
      </c>
    </row>
    <row r="7" spans="2:8" ht="15">
      <c r="B7">
        <v>5</v>
      </c>
      <c r="C7" t="s">
        <v>49</v>
      </c>
      <c r="D7">
        <v>500</v>
      </c>
      <c r="E7" t="s">
        <v>94</v>
      </c>
      <c r="F7" t="s">
        <v>15</v>
      </c>
      <c r="G7" t="s">
        <v>71</v>
      </c>
      <c r="H7" t="s">
        <v>19</v>
      </c>
    </row>
    <row r="8" spans="2:8" ht="15">
      <c r="B8">
        <v>6</v>
      </c>
      <c r="C8" t="s">
        <v>49</v>
      </c>
      <c r="D8">
        <v>500</v>
      </c>
      <c r="E8" t="s">
        <v>95</v>
      </c>
      <c r="F8" t="s">
        <v>15</v>
      </c>
      <c r="G8" t="s">
        <v>71</v>
      </c>
      <c r="H8" t="s">
        <v>19</v>
      </c>
    </row>
    <row r="9" spans="2:14" ht="15">
      <c r="B9">
        <v>7</v>
      </c>
      <c r="C9" t="s">
        <v>49</v>
      </c>
      <c r="D9">
        <v>500</v>
      </c>
      <c r="E9" t="s">
        <v>96</v>
      </c>
      <c r="F9" t="s">
        <v>15</v>
      </c>
      <c r="G9" t="s">
        <v>86</v>
      </c>
      <c r="H9" t="s">
        <v>20</v>
      </c>
      <c r="I9" t="s">
        <v>46</v>
      </c>
      <c r="J9" t="s">
        <v>57</v>
      </c>
      <c r="K9" t="s">
        <v>70</v>
      </c>
      <c r="L9" t="s">
        <v>69</v>
      </c>
      <c r="M9" t="s">
        <v>68</v>
      </c>
      <c r="N9">
        <v>1</v>
      </c>
    </row>
    <row r="10" spans="2:8" ht="15">
      <c r="B10">
        <v>8</v>
      </c>
      <c r="C10" t="s">
        <v>49</v>
      </c>
      <c r="D10">
        <v>500</v>
      </c>
      <c r="E10" t="s">
        <v>97</v>
      </c>
      <c r="F10" t="s">
        <v>15</v>
      </c>
      <c r="G10" t="s">
        <v>71</v>
      </c>
      <c r="H10" t="s">
        <v>19</v>
      </c>
    </row>
    <row r="11" spans="2:8" ht="15">
      <c r="B11">
        <v>9</v>
      </c>
      <c r="C11" t="s">
        <v>49</v>
      </c>
      <c r="D11">
        <v>500</v>
      </c>
      <c r="E11" t="s">
        <v>98</v>
      </c>
      <c r="F11" t="s">
        <v>15</v>
      </c>
      <c r="G11" t="s">
        <v>71</v>
      </c>
      <c r="H11" t="s">
        <v>19</v>
      </c>
    </row>
    <row r="12" spans="2:14" ht="15">
      <c r="B12">
        <v>10</v>
      </c>
      <c r="C12" t="s">
        <v>49</v>
      </c>
      <c r="D12">
        <v>500</v>
      </c>
      <c r="E12" t="s">
        <v>99</v>
      </c>
      <c r="F12" t="s">
        <v>15</v>
      </c>
      <c r="G12" t="s">
        <v>83</v>
      </c>
      <c r="H12" t="s">
        <v>84</v>
      </c>
      <c r="I12" t="s">
        <v>85</v>
      </c>
      <c r="J12" t="s">
        <v>57</v>
      </c>
      <c r="K12" t="s">
        <v>70</v>
      </c>
      <c r="L12" t="s">
        <v>69</v>
      </c>
      <c r="M12" t="s">
        <v>68</v>
      </c>
      <c r="N12">
        <v>1</v>
      </c>
    </row>
    <row r="13" spans="2:8" ht="15">
      <c r="B13">
        <v>11</v>
      </c>
      <c r="C13" t="s">
        <v>49</v>
      </c>
      <c r="D13">
        <v>500</v>
      </c>
      <c r="E13" t="s">
        <v>100</v>
      </c>
      <c r="F13" t="s">
        <v>15</v>
      </c>
      <c r="G13" t="s">
        <v>71</v>
      </c>
      <c r="H13" t="s">
        <v>19</v>
      </c>
    </row>
    <row r="14" spans="2:9" ht="15">
      <c r="B14">
        <v>12</v>
      </c>
      <c r="C14" t="s">
        <v>49</v>
      </c>
      <c r="D14">
        <v>500</v>
      </c>
      <c r="E14" t="s">
        <v>101</v>
      </c>
      <c r="F14" t="s">
        <v>15</v>
      </c>
      <c r="G14" t="s">
        <v>67</v>
      </c>
      <c r="H14" t="s">
        <v>50</v>
      </c>
      <c r="I14" t="s">
        <v>85</v>
      </c>
    </row>
    <row r="15" spans="2:8" ht="15">
      <c r="B15">
        <v>13</v>
      </c>
      <c r="C15" t="s">
        <v>49</v>
      </c>
      <c r="D15">
        <v>500</v>
      </c>
      <c r="E15" t="s">
        <v>102</v>
      </c>
      <c r="F15" t="s">
        <v>15</v>
      </c>
      <c r="G15" t="s">
        <v>71</v>
      </c>
      <c r="H15" t="s">
        <v>19</v>
      </c>
    </row>
    <row r="16" spans="2:8" ht="15">
      <c r="B16">
        <v>14</v>
      </c>
      <c r="C16" t="s">
        <v>49</v>
      </c>
      <c r="D16">
        <v>500</v>
      </c>
      <c r="E16" t="s">
        <v>103</v>
      </c>
      <c r="F16" t="s">
        <v>15</v>
      </c>
      <c r="G16" t="s">
        <v>71</v>
      </c>
      <c r="H16" t="s">
        <v>19</v>
      </c>
    </row>
    <row r="17" spans="2:14" ht="15">
      <c r="B17">
        <v>15</v>
      </c>
      <c r="C17" t="s">
        <v>49</v>
      </c>
      <c r="D17">
        <v>500</v>
      </c>
      <c r="E17" t="s">
        <v>104</v>
      </c>
      <c r="F17" t="s">
        <v>15</v>
      </c>
      <c r="G17" t="s">
        <v>83</v>
      </c>
      <c r="H17" t="s">
        <v>84</v>
      </c>
      <c r="I17" t="s">
        <v>85</v>
      </c>
      <c r="J17" t="s">
        <v>57</v>
      </c>
      <c r="K17" t="s">
        <v>70</v>
      </c>
      <c r="L17" t="s">
        <v>69</v>
      </c>
      <c r="M17" t="s">
        <v>68</v>
      </c>
      <c r="N17">
        <v>1</v>
      </c>
    </row>
    <row r="18" spans="2:8" ht="15">
      <c r="B18">
        <v>16</v>
      </c>
      <c r="C18" t="s">
        <v>49</v>
      </c>
      <c r="D18">
        <v>500</v>
      </c>
      <c r="E18" t="s">
        <v>105</v>
      </c>
      <c r="F18" t="s">
        <v>15</v>
      </c>
      <c r="G18" t="s">
        <v>71</v>
      </c>
      <c r="H18" t="s">
        <v>19</v>
      </c>
    </row>
    <row r="19" spans="2:9" ht="15">
      <c r="B19">
        <v>17</v>
      </c>
      <c r="C19" t="s">
        <v>49</v>
      </c>
      <c r="D19">
        <v>500</v>
      </c>
      <c r="E19" t="s">
        <v>106</v>
      </c>
      <c r="F19" t="s">
        <v>15</v>
      </c>
      <c r="G19" t="s">
        <v>83</v>
      </c>
      <c r="H19" t="s">
        <v>84</v>
      </c>
      <c r="I19" t="s">
        <v>85</v>
      </c>
    </row>
    <row r="20" spans="2:8" ht="15">
      <c r="B20">
        <v>18</v>
      </c>
      <c r="C20" t="s">
        <v>49</v>
      </c>
      <c r="D20">
        <v>500</v>
      </c>
      <c r="E20" t="s">
        <v>107</v>
      </c>
      <c r="F20" t="s">
        <v>15</v>
      </c>
      <c r="G20" t="s">
        <v>71</v>
      </c>
      <c r="H20" t="s">
        <v>19</v>
      </c>
    </row>
    <row r="21" spans="2:9" ht="15">
      <c r="B21">
        <v>19</v>
      </c>
      <c r="C21" t="s">
        <v>49</v>
      </c>
      <c r="D21">
        <v>500</v>
      </c>
      <c r="E21" t="s">
        <v>108</v>
      </c>
      <c r="F21" t="s">
        <v>15</v>
      </c>
      <c r="G21" t="s">
        <v>72</v>
      </c>
      <c r="H21" t="s">
        <v>19</v>
      </c>
      <c r="I21" t="s">
        <v>46</v>
      </c>
    </row>
    <row r="22" spans="2:9" ht="15">
      <c r="B22">
        <v>20</v>
      </c>
      <c r="C22" t="s">
        <v>49</v>
      </c>
      <c r="D22">
        <v>500</v>
      </c>
      <c r="E22" t="s">
        <v>109</v>
      </c>
      <c r="F22" t="s">
        <v>15</v>
      </c>
      <c r="G22" t="s">
        <v>72</v>
      </c>
      <c r="H22" t="s">
        <v>19</v>
      </c>
      <c r="I22" t="s">
        <v>46</v>
      </c>
    </row>
    <row r="23" spans="2:8" ht="15">
      <c r="B23">
        <v>21</v>
      </c>
      <c r="C23" t="s">
        <v>49</v>
      </c>
      <c r="D23">
        <v>500</v>
      </c>
      <c r="E23" t="s">
        <v>110</v>
      </c>
      <c r="F23" t="s">
        <v>15</v>
      </c>
      <c r="G23" t="s">
        <v>71</v>
      </c>
      <c r="H23" t="s">
        <v>19</v>
      </c>
    </row>
    <row r="24" spans="2:9" ht="15">
      <c r="B24">
        <v>22</v>
      </c>
      <c r="C24" t="s">
        <v>49</v>
      </c>
      <c r="D24">
        <v>500</v>
      </c>
      <c r="E24" t="s">
        <v>111</v>
      </c>
      <c r="F24" t="s">
        <v>15</v>
      </c>
      <c r="G24" t="s">
        <v>67</v>
      </c>
      <c r="H24" t="s">
        <v>50</v>
      </c>
      <c r="I24" t="s">
        <v>80</v>
      </c>
    </row>
    <row r="25" spans="2:8" ht="15">
      <c r="B25">
        <v>23</v>
      </c>
      <c r="C25" t="s">
        <v>49</v>
      </c>
      <c r="D25">
        <v>500</v>
      </c>
      <c r="E25" t="s">
        <v>112</v>
      </c>
      <c r="F25" t="s">
        <v>15</v>
      </c>
      <c r="G25" t="s">
        <v>71</v>
      </c>
      <c r="H25" t="s">
        <v>19</v>
      </c>
    </row>
    <row r="26" spans="2:8" ht="15">
      <c r="B26">
        <v>24</v>
      </c>
      <c r="C26" t="s">
        <v>49</v>
      </c>
      <c r="D26">
        <v>500</v>
      </c>
      <c r="E26" t="s">
        <v>113</v>
      </c>
      <c r="F26" t="s">
        <v>15</v>
      </c>
      <c r="G26" t="s">
        <v>71</v>
      </c>
      <c r="H26" t="s">
        <v>19</v>
      </c>
    </row>
    <row r="27" spans="2:9" ht="15">
      <c r="B27">
        <v>25</v>
      </c>
      <c r="C27" t="s">
        <v>49</v>
      </c>
      <c r="D27">
        <v>500</v>
      </c>
      <c r="E27" t="s">
        <v>114</v>
      </c>
      <c r="F27" t="s">
        <v>15</v>
      </c>
      <c r="G27" t="s">
        <v>83</v>
      </c>
      <c r="H27" t="s">
        <v>84</v>
      </c>
      <c r="I27" t="s">
        <v>85</v>
      </c>
    </row>
    <row r="28" spans="2:8" ht="15">
      <c r="B28">
        <v>26</v>
      </c>
      <c r="C28" t="s">
        <v>49</v>
      </c>
      <c r="D28">
        <v>500</v>
      </c>
      <c r="E28" t="s">
        <v>115</v>
      </c>
      <c r="F28" t="s">
        <v>15</v>
      </c>
      <c r="G28" t="s">
        <v>71</v>
      </c>
      <c r="H28" t="s">
        <v>19</v>
      </c>
    </row>
    <row r="29" spans="2:8" ht="15">
      <c r="B29">
        <v>27</v>
      </c>
      <c r="C29" t="s">
        <v>49</v>
      </c>
      <c r="D29">
        <v>500</v>
      </c>
      <c r="E29" t="s">
        <v>116</v>
      </c>
      <c r="F29" t="s">
        <v>15</v>
      </c>
      <c r="G29" t="s">
        <v>71</v>
      </c>
      <c r="H29" t="s">
        <v>19</v>
      </c>
    </row>
    <row r="30" spans="2:8" ht="15">
      <c r="B30">
        <v>28</v>
      </c>
      <c r="C30" t="s">
        <v>49</v>
      </c>
      <c r="D30">
        <v>500</v>
      </c>
      <c r="E30" t="s">
        <v>117</v>
      </c>
      <c r="F30" t="s">
        <v>15</v>
      </c>
      <c r="G30" t="s">
        <v>71</v>
      </c>
      <c r="H30" t="s">
        <v>19</v>
      </c>
    </row>
    <row r="31" spans="2:8" ht="15">
      <c r="B31">
        <v>29</v>
      </c>
      <c r="C31" t="s">
        <v>49</v>
      </c>
      <c r="D31">
        <v>500</v>
      </c>
      <c r="E31" t="s">
        <v>118</v>
      </c>
      <c r="F31" t="s">
        <v>15</v>
      </c>
      <c r="G31" t="s">
        <v>71</v>
      </c>
      <c r="H31" t="s">
        <v>19</v>
      </c>
    </row>
    <row r="32" spans="2:9" ht="15">
      <c r="B32">
        <v>30</v>
      </c>
      <c r="C32" t="s">
        <v>49</v>
      </c>
      <c r="D32">
        <v>500</v>
      </c>
      <c r="E32" t="s">
        <v>119</v>
      </c>
      <c r="F32" t="s">
        <v>15</v>
      </c>
      <c r="G32" t="s">
        <v>67</v>
      </c>
      <c r="H32" t="s">
        <v>50</v>
      </c>
      <c r="I32" t="s">
        <v>80</v>
      </c>
    </row>
    <row r="33" spans="2:14" ht="15">
      <c r="B33">
        <v>31</v>
      </c>
      <c r="C33" t="s">
        <v>49</v>
      </c>
      <c r="D33">
        <v>500</v>
      </c>
      <c r="E33" t="s">
        <v>120</v>
      </c>
      <c r="F33" t="s">
        <v>15</v>
      </c>
      <c r="G33" t="s">
        <v>71</v>
      </c>
      <c r="H33" t="s">
        <v>50</v>
      </c>
      <c r="I33" t="s">
        <v>62</v>
      </c>
      <c r="M33" t="s">
        <v>68</v>
      </c>
      <c r="N33">
        <v>1</v>
      </c>
    </row>
    <row r="34" spans="2:13" ht="15">
      <c r="B34">
        <v>32</v>
      </c>
      <c r="C34" t="s">
        <v>49</v>
      </c>
      <c r="D34">
        <v>500</v>
      </c>
      <c r="E34" t="s">
        <v>121</v>
      </c>
      <c r="F34" t="s">
        <v>15</v>
      </c>
      <c r="G34" t="s">
        <v>86</v>
      </c>
      <c r="H34" t="s">
        <v>19</v>
      </c>
      <c r="I34" t="s">
        <v>125</v>
      </c>
      <c r="J34" t="s">
        <v>57</v>
      </c>
      <c r="K34" t="s">
        <v>70</v>
      </c>
      <c r="L34" t="s">
        <v>69</v>
      </c>
      <c r="M34" t="s">
        <v>68</v>
      </c>
    </row>
    <row r="35" spans="2:14" ht="15">
      <c r="B35">
        <v>33</v>
      </c>
      <c r="C35" t="s">
        <v>82</v>
      </c>
      <c r="D35">
        <v>400</v>
      </c>
      <c r="E35" t="s">
        <v>122</v>
      </c>
      <c r="F35" t="s">
        <v>15</v>
      </c>
      <c r="H35" t="s">
        <v>20</v>
      </c>
      <c r="I35" t="s">
        <v>62</v>
      </c>
      <c r="N35">
        <v>1</v>
      </c>
    </row>
    <row r="36" spans="4:14" ht="15">
      <c r="D36" s="28" t="s">
        <v>22</v>
      </c>
      <c r="E36" s="28"/>
      <c r="F36" s="28"/>
      <c r="G36" s="28"/>
      <c r="H36" s="28"/>
      <c r="I36" s="28"/>
      <c r="J36" s="28"/>
      <c r="K36" s="28"/>
      <c r="L36" s="28"/>
      <c r="M36" s="28"/>
      <c r="N36" s="28"/>
    </row>
    <row r="37" spans="4:14" s="1" customFormat="1" ht="15">
      <c r="D37" s="27" t="s">
        <v>23</v>
      </c>
      <c r="E37" s="27"/>
      <c r="F37" s="27"/>
      <c r="G37" s="2" t="s">
        <v>26</v>
      </c>
      <c r="H37" s="2" t="s">
        <v>27</v>
      </c>
      <c r="I37" s="3" t="s">
        <v>12</v>
      </c>
      <c r="J37" s="2"/>
      <c r="K37" s="14"/>
      <c r="L37" s="2"/>
      <c r="M37" s="2"/>
      <c r="N37" s="2"/>
    </row>
    <row r="38" spans="4:12" ht="15">
      <c r="D38" s="28" t="s">
        <v>24</v>
      </c>
      <c r="E38" s="28"/>
      <c r="F38" s="28"/>
      <c r="G38">
        <f>+COUNTIF(D3:D35,"500")</f>
        <v>32</v>
      </c>
      <c r="I38" s="3">
        <f aca="true" t="shared" si="0" ref="I38:I39">SUM(G38:H38)</f>
        <v>32</v>
      </c>
      <c r="K38" t="s">
        <v>58</v>
      </c>
      <c r="L38">
        <f>+I38+I39+I55+I51+I52</f>
        <v>60</v>
      </c>
    </row>
    <row r="39" spans="4:12" ht="15">
      <c r="D39" s="28" t="s">
        <v>25</v>
      </c>
      <c r="E39" s="28"/>
      <c r="F39" s="28"/>
      <c r="G39">
        <f>+COUNTIF(C3:C35,"10m")</f>
        <v>1</v>
      </c>
      <c r="I39" s="3">
        <f t="shared" si="0"/>
        <v>1</v>
      </c>
      <c r="K39" t="s">
        <v>59</v>
      </c>
      <c r="L39">
        <f>+I58</f>
        <v>4</v>
      </c>
    </row>
    <row r="40" spans="4:9" ht="15">
      <c r="D40" s="28" t="s">
        <v>67</v>
      </c>
      <c r="E40" s="28"/>
      <c r="F40" s="28"/>
      <c r="G40">
        <f>+COUNTIF($G$3:$G$35,"1CDT")</f>
        <v>4</v>
      </c>
      <c r="I40" s="3">
        <f>SUM(G40:H40)</f>
        <v>4</v>
      </c>
    </row>
    <row r="41" spans="4:9" ht="15">
      <c r="D41" s="28" t="s">
        <v>71</v>
      </c>
      <c r="E41" s="28"/>
      <c r="F41" s="28"/>
      <c r="G41">
        <f>+COUNTIF($G$3:$G$35,"1CPT")</f>
        <v>19</v>
      </c>
      <c r="I41" s="3">
        <f aca="true" t="shared" si="1" ref="I41:I55">SUM(G41:H41)</f>
        <v>19</v>
      </c>
    </row>
    <row r="42" spans="4:9" ht="15">
      <c r="D42" s="28" t="s">
        <v>72</v>
      </c>
      <c r="E42" s="28"/>
      <c r="F42" s="28"/>
      <c r="G42">
        <f>+COUNTIF($G$3:$G$35,"1CRT")</f>
        <v>2</v>
      </c>
      <c r="H42">
        <f>+G43*1</f>
        <v>1</v>
      </c>
      <c r="I42" s="3">
        <f t="shared" si="1"/>
        <v>3</v>
      </c>
    </row>
    <row r="43" spans="4:9" ht="15" hidden="1">
      <c r="D43" s="28" t="s">
        <v>124</v>
      </c>
      <c r="E43" s="28"/>
      <c r="F43" s="28"/>
      <c r="G43">
        <f>+COUNTIF($G$3:$G$35,"1CAT+1CRT")</f>
        <v>1</v>
      </c>
      <c r="I43" s="3"/>
    </row>
    <row r="44" spans="4:9" ht="15" hidden="1">
      <c r="D44" s="28" t="s">
        <v>83</v>
      </c>
      <c r="E44" s="28"/>
      <c r="F44" s="28"/>
      <c r="G44">
        <f>+COUNTIF($G$3:$G$35,"2(1CRT)")</f>
        <v>4</v>
      </c>
      <c r="I44" s="3"/>
    </row>
    <row r="45" spans="4:9" ht="15">
      <c r="D45" s="28" t="s">
        <v>86</v>
      </c>
      <c r="E45" s="28"/>
      <c r="F45" s="28"/>
      <c r="G45">
        <f>+COUNTIF($G$3:$G$35,"1CRT")</f>
        <v>2</v>
      </c>
      <c r="H45">
        <f>+G44*2+G43*1</f>
        <v>9</v>
      </c>
      <c r="I45" s="3">
        <f>+G45+H45</f>
        <v>11</v>
      </c>
    </row>
    <row r="46" spans="4:9" ht="15">
      <c r="D46" s="28" t="s">
        <v>19</v>
      </c>
      <c r="E46" s="28"/>
      <c r="F46" s="28"/>
      <c r="G46">
        <f>+COUNTIF($H$3:$H$35,"1EP")</f>
        <v>21</v>
      </c>
      <c r="H46">
        <f>+G47*1</f>
        <v>1</v>
      </c>
      <c r="I46" s="3">
        <f t="shared" si="1"/>
        <v>22</v>
      </c>
    </row>
    <row r="47" spans="4:9" ht="15" hidden="1">
      <c r="D47" s="28" t="s">
        <v>81</v>
      </c>
      <c r="E47" s="28"/>
      <c r="F47" s="28"/>
      <c r="G47">
        <f>+COUNTIF($H$3:$H$35,"1EP+1ER")</f>
        <v>1</v>
      </c>
      <c r="I47" s="3"/>
    </row>
    <row r="48" spans="4:9" ht="15">
      <c r="D48" s="28" t="s">
        <v>20</v>
      </c>
      <c r="E48" s="28"/>
      <c r="F48" s="28"/>
      <c r="G48">
        <f>+COUNTIF($H$3:$H$35,"1ER")</f>
        <v>2</v>
      </c>
      <c r="H48">
        <f>+G49*2+G47*1</f>
        <v>9</v>
      </c>
      <c r="I48" s="3">
        <f t="shared" si="1"/>
        <v>11</v>
      </c>
    </row>
    <row r="49" spans="4:9" ht="15" hidden="1">
      <c r="D49" s="28" t="s">
        <v>84</v>
      </c>
      <c r="E49" s="28"/>
      <c r="F49" s="28"/>
      <c r="G49">
        <f>+COUNTIF($H$3:$H$35,"2(1ER)")</f>
        <v>4</v>
      </c>
      <c r="I49" s="3"/>
    </row>
    <row r="50" spans="4:9" ht="15">
      <c r="D50" s="28" t="s">
        <v>50</v>
      </c>
      <c r="E50" s="28"/>
      <c r="F50" s="28"/>
      <c r="G50">
        <f>+COUNTIF($H$3:$H$35,"1ED")</f>
        <v>5</v>
      </c>
      <c r="I50" s="3">
        <f t="shared" si="1"/>
        <v>5</v>
      </c>
    </row>
    <row r="51" spans="4:9" ht="15">
      <c r="D51" s="28" t="s">
        <v>46</v>
      </c>
      <c r="E51" s="28"/>
      <c r="F51" s="28"/>
      <c r="G51">
        <f>+COUNTIF($I$3:$I$35,"TAT-0TS")</f>
        <v>5</v>
      </c>
      <c r="H51">
        <f>+G52*2+G53*3+G54*1</f>
        <v>19</v>
      </c>
      <c r="I51" s="3">
        <f t="shared" si="1"/>
        <v>24</v>
      </c>
    </row>
    <row r="52" spans="4:9" ht="15" hidden="1">
      <c r="D52" s="28" t="s">
        <v>85</v>
      </c>
      <c r="E52" s="28"/>
      <c r="F52" s="28"/>
      <c r="G52">
        <f>+COUNTIF($I$3:$I$35,"2(TAT-0TS)")</f>
        <v>6</v>
      </c>
      <c r="I52" s="3"/>
    </row>
    <row r="53" spans="4:9" ht="15" hidden="1">
      <c r="D53" s="28" t="s">
        <v>87</v>
      </c>
      <c r="E53" s="28"/>
      <c r="F53" s="28"/>
      <c r="G53">
        <f>+COUNTIF($I$3:$I$35,"3(TAT-0TS)")</f>
        <v>2</v>
      </c>
      <c r="I53" s="3"/>
    </row>
    <row r="54" spans="4:9" ht="15" hidden="1">
      <c r="D54" s="28" t="s">
        <v>125</v>
      </c>
      <c r="E54" s="28"/>
      <c r="F54" s="28"/>
      <c r="G54">
        <f>+COUNTIF($I$3:$I$35,"TAT-0TS+TAD-0TS")</f>
        <v>1</v>
      </c>
      <c r="I54" s="3"/>
    </row>
    <row r="55" spans="4:9" ht="15">
      <c r="D55" s="28" t="s">
        <v>62</v>
      </c>
      <c r="E55" s="28"/>
      <c r="F55" s="28"/>
      <c r="G55">
        <f>+COUNTIF($I$3:$I$35,"TAD-0TS")</f>
        <v>2</v>
      </c>
      <c r="H55">
        <f>+G54*1</f>
        <v>1</v>
      </c>
      <c r="I55" s="3">
        <f t="shared" si="1"/>
        <v>3</v>
      </c>
    </row>
    <row r="56" spans="4:9" ht="15">
      <c r="D56" s="28" t="s">
        <v>126</v>
      </c>
      <c r="E56" s="28"/>
      <c r="F56" s="28"/>
      <c r="G56">
        <f>+COUNTIF($J$3:$J$35,"1 Secc")</f>
        <v>5</v>
      </c>
      <c r="H56">
        <v>2</v>
      </c>
      <c r="I56" s="3">
        <f aca="true" t="shared" si="2" ref="I56:I57">SUM(G56:H56)</f>
        <v>7</v>
      </c>
    </row>
    <row r="57" spans="4:9" ht="15">
      <c r="D57" s="28" t="s">
        <v>68</v>
      </c>
      <c r="E57" s="28"/>
      <c r="F57" s="28"/>
      <c r="G57">
        <f>+COUNTIF($M$3:$M$35,"90W")</f>
        <v>5</v>
      </c>
      <c r="I57" s="3">
        <f t="shared" si="2"/>
        <v>5</v>
      </c>
    </row>
    <row r="58" spans="4:9" ht="15">
      <c r="D58" s="28" t="s">
        <v>51</v>
      </c>
      <c r="E58" s="28"/>
      <c r="F58" s="28"/>
      <c r="G58">
        <f>+COUNTIF($K$3:$K$35,"1 Pararrayos")</f>
        <v>4</v>
      </c>
      <c r="I58" s="3">
        <f>+G58+H58</f>
        <v>4</v>
      </c>
    </row>
    <row r="59" spans="4:9" ht="15">
      <c r="D59" s="28" t="s">
        <v>73</v>
      </c>
      <c r="E59" s="28"/>
      <c r="F59" s="28"/>
      <c r="G59">
        <f>+COUNTIF($L$3:$L$35,"10 kVA")</f>
        <v>4</v>
      </c>
      <c r="I59" s="3">
        <f>+G59+H59</f>
        <v>4</v>
      </c>
    </row>
    <row r="60" spans="4:9" ht="15">
      <c r="D60" s="28" t="s">
        <v>77</v>
      </c>
      <c r="E60" s="28"/>
      <c r="F60" s="28"/>
      <c r="G60">
        <v>5</v>
      </c>
      <c r="I60" s="3">
        <f>+G60+H60</f>
        <v>5</v>
      </c>
    </row>
    <row r="61" spans="4:6" ht="15">
      <c r="D61" s="28"/>
      <c r="E61" s="28"/>
      <c r="F61" s="28"/>
    </row>
    <row r="62" spans="4:6" ht="15">
      <c r="D62" s="28"/>
      <c r="E62" s="28"/>
      <c r="F62" s="28"/>
    </row>
    <row r="63" spans="4:6" ht="15">
      <c r="D63" s="28"/>
      <c r="E63" s="28"/>
      <c r="F63" s="28"/>
    </row>
    <row r="64" spans="4:6" ht="15">
      <c r="D64" s="28"/>
      <c r="E64" s="28"/>
      <c r="F64" s="28"/>
    </row>
    <row r="65" spans="4:6" ht="15">
      <c r="D65" s="28"/>
      <c r="E65" s="28"/>
      <c r="F65" s="28"/>
    </row>
    <row r="66" spans="4:6" ht="15">
      <c r="D66" s="28"/>
      <c r="E66" s="28"/>
      <c r="F66" s="28"/>
    </row>
    <row r="67" spans="4:6" ht="15">
      <c r="D67" s="28"/>
      <c r="E67" s="28"/>
      <c r="F67" s="28"/>
    </row>
    <row r="68" spans="4:6" ht="15">
      <c r="D68" s="28"/>
      <c r="E68" s="28"/>
      <c r="F68" s="28"/>
    </row>
  </sheetData>
  <mergeCells count="33">
    <mergeCell ref="D40:F40"/>
    <mergeCell ref="D36:N36"/>
    <mergeCell ref="D38:F38"/>
    <mergeCell ref="D37:F37"/>
    <mergeCell ref="D39:F39"/>
    <mergeCell ref="D41:F41"/>
    <mergeCell ref="D42:F42"/>
    <mergeCell ref="D46:F46"/>
    <mergeCell ref="D48:F48"/>
    <mergeCell ref="D50:F50"/>
    <mergeCell ref="D44:F44"/>
    <mergeCell ref="D45:F45"/>
    <mergeCell ref="D47:F47"/>
    <mergeCell ref="D49:F49"/>
    <mergeCell ref="D43:F43"/>
    <mergeCell ref="D68:F68"/>
    <mergeCell ref="D62:F62"/>
    <mergeCell ref="D63:F63"/>
    <mergeCell ref="D64:F64"/>
    <mergeCell ref="D65:F65"/>
    <mergeCell ref="D51:F51"/>
    <mergeCell ref="D52:F52"/>
    <mergeCell ref="D66:F66"/>
    <mergeCell ref="D67:F67"/>
    <mergeCell ref="D56:F56"/>
    <mergeCell ref="D55:F55"/>
    <mergeCell ref="D59:F59"/>
    <mergeCell ref="D60:F60"/>
    <mergeCell ref="D61:F61"/>
    <mergeCell ref="D57:F57"/>
    <mergeCell ref="D58:F58"/>
    <mergeCell ref="D53:F53"/>
    <mergeCell ref="D54:F54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M37"/>
  <sheetViews>
    <sheetView tabSelected="1" view="pageBreakPreview" zoomScale="79" zoomScaleSheetLayoutView="79" workbookViewId="0" topLeftCell="B7">
      <selection activeCell="C33" sqref="C33"/>
    </sheetView>
  </sheetViews>
  <sheetFormatPr defaultColWidth="11.421875" defaultRowHeight="15"/>
  <cols>
    <col min="3" max="3" width="111.57421875" style="0" customWidth="1"/>
    <col min="4" max="4" width="9.421875" style="0" customWidth="1"/>
    <col min="5" max="5" width="9.57421875" style="0" customWidth="1"/>
    <col min="6" max="6" width="14.57421875" style="0" bestFit="1" customWidth="1"/>
    <col min="7" max="7" width="16.00390625" style="0" bestFit="1" customWidth="1"/>
    <col min="8" max="8" width="19.57421875" style="0" bestFit="1" customWidth="1"/>
    <col min="9" max="9" width="15.7109375" style="0" bestFit="1" customWidth="1"/>
  </cols>
  <sheetData>
    <row r="3" spans="2:13" ht="15">
      <c r="B3" s="27" t="s">
        <v>128</v>
      </c>
      <c r="C3" s="27"/>
      <c r="D3" s="27"/>
      <c r="E3" s="27"/>
      <c r="F3" s="27"/>
      <c r="G3" s="27"/>
      <c r="H3" s="27"/>
      <c r="I3" s="27"/>
      <c r="J3" s="5"/>
      <c r="K3" s="5"/>
      <c r="L3" s="5"/>
      <c r="M3" s="5"/>
    </row>
    <row r="4" ht="15.6">
      <c r="B4" s="26" t="s">
        <v>133</v>
      </c>
    </row>
    <row r="5" spans="2:9" ht="15">
      <c r="B5" s="6" t="s">
        <v>30</v>
      </c>
      <c r="C5" s="6" t="s">
        <v>23</v>
      </c>
      <c r="D5" s="6" t="s">
        <v>35</v>
      </c>
      <c r="E5" s="6" t="s">
        <v>33</v>
      </c>
      <c r="F5" s="6" t="s">
        <v>36</v>
      </c>
      <c r="G5" s="6" t="s">
        <v>37</v>
      </c>
      <c r="H5" s="6" t="s">
        <v>31</v>
      </c>
      <c r="I5" s="6" t="s">
        <v>38</v>
      </c>
    </row>
    <row r="6" spans="2:9" ht="15">
      <c r="B6" s="7">
        <v>1</v>
      </c>
      <c r="C6" s="7" t="s">
        <v>32</v>
      </c>
      <c r="D6" s="7" t="s">
        <v>34</v>
      </c>
      <c r="E6" s="7">
        <f>+ROUNDUP(CONDUCTOR!E37,FALSE)</f>
        <v>6799</v>
      </c>
      <c r="F6" s="7">
        <v>0.85</v>
      </c>
      <c r="G6" s="8">
        <f>+E6*F6</f>
        <v>5779.15</v>
      </c>
      <c r="H6" s="7">
        <v>0.97</v>
      </c>
      <c r="I6" s="8">
        <f>+H6*E6</f>
        <v>6595.03</v>
      </c>
    </row>
    <row r="7" spans="2:9" s="12" customFormat="1" ht="15">
      <c r="B7" s="10">
        <v>2</v>
      </c>
      <c r="C7" s="10" t="s">
        <v>63</v>
      </c>
      <c r="D7" s="10" t="s">
        <v>34</v>
      </c>
      <c r="E7" s="10">
        <f>+ROUNDUP(CONDUCTOR!F37,FALSE)</f>
        <v>132</v>
      </c>
      <c r="F7" s="10">
        <v>4.38</v>
      </c>
      <c r="G7" s="11">
        <f aca="true" t="shared" si="0" ref="G7:G32">+E7*F7</f>
        <v>578.16</v>
      </c>
      <c r="H7" s="10">
        <v>1.54</v>
      </c>
      <c r="I7" s="11">
        <f aca="true" t="shared" si="1" ref="I7:I32">+H7*E7</f>
        <v>203.28</v>
      </c>
    </row>
    <row r="8" spans="2:9" ht="15">
      <c r="B8" s="7">
        <v>3</v>
      </c>
      <c r="C8" s="7" t="s">
        <v>56</v>
      </c>
      <c r="D8" s="7" t="s">
        <v>39</v>
      </c>
      <c r="E8" s="7">
        <f>+ESTRUCTURAS!I38</f>
        <v>32</v>
      </c>
      <c r="F8" s="7">
        <v>875.75</v>
      </c>
      <c r="G8" s="8">
        <f t="shared" si="0"/>
        <v>28024</v>
      </c>
      <c r="H8" s="7">
        <v>122.9</v>
      </c>
      <c r="I8" s="8">
        <f t="shared" si="1"/>
        <v>3932.8</v>
      </c>
    </row>
    <row r="9" spans="2:9" ht="15">
      <c r="B9" s="10">
        <v>4</v>
      </c>
      <c r="C9" s="7" t="s">
        <v>64</v>
      </c>
      <c r="D9" s="7" t="s">
        <v>39</v>
      </c>
      <c r="E9" s="7">
        <f>+ESTRUCTURAS!I39</f>
        <v>1</v>
      </c>
      <c r="F9" s="7">
        <v>740.15</v>
      </c>
      <c r="G9" s="8">
        <f t="shared" si="0"/>
        <v>740.15</v>
      </c>
      <c r="H9" s="7">
        <v>122.9</v>
      </c>
      <c r="I9" s="8">
        <f t="shared" si="1"/>
        <v>122.9</v>
      </c>
    </row>
    <row r="10" spans="2:9" s="12" customFormat="1" ht="15">
      <c r="B10" s="7">
        <v>5</v>
      </c>
      <c r="C10" s="10" t="s">
        <v>74</v>
      </c>
      <c r="D10" s="10" t="s">
        <v>39</v>
      </c>
      <c r="E10" s="10">
        <f>+ESTRUCTURAS!I40</f>
        <v>4</v>
      </c>
      <c r="F10" s="10">
        <v>116.95</v>
      </c>
      <c r="G10" s="11">
        <f t="shared" si="0"/>
        <v>467.8</v>
      </c>
      <c r="H10" s="10">
        <v>54.15</v>
      </c>
      <c r="I10" s="11">
        <f t="shared" si="1"/>
        <v>216.6</v>
      </c>
    </row>
    <row r="11" spans="2:9" ht="15">
      <c r="B11" s="10">
        <v>6</v>
      </c>
      <c r="C11" s="10" t="s">
        <v>75</v>
      </c>
      <c r="D11" s="7" t="s">
        <v>39</v>
      </c>
      <c r="E11" s="7">
        <f>+ESTRUCTURAS!I41</f>
        <v>19</v>
      </c>
      <c r="F11" s="7">
        <v>31.58</v>
      </c>
      <c r="G11" s="8">
        <f t="shared" si="0"/>
        <v>600.02</v>
      </c>
      <c r="H11" s="7">
        <v>21.66</v>
      </c>
      <c r="I11" s="8">
        <f t="shared" si="1"/>
        <v>411.54</v>
      </c>
    </row>
    <row r="12" spans="2:9" ht="15">
      <c r="B12" s="7">
        <v>7</v>
      </c>
      <c r="C12" s="10" t="s">
        <v>76</v>
      </c>
      <c r="D12" s="7" t="s">
        <v>39</v>
      </c>
      <c r="E12" s="7">
        <f>+ESTRUCTURAS!I42</f>
        <v>3</v>
      </c>
      <c r="F12" s="7">
        <v>41.12</v>
      </c>
      <c r="G12" s="8">
        <f t="shared" si="0"/>
        <v>123.35999999999999</v>
      </c>
      <c r="H12" s="7">
        <v>27.08</v>
      </c>
      <c r="I12" s="8">
        <f t="shared" si="1"/>
        <v>81.24</v>
      </c>
    </row>
    <row r="13" spans="2:9" ht="15">
      <c r="B13" s="7"/>
      <c r="C13" s="10" t="s">
        <v>88</v>
      </c>
      <c r="D13" s="7" t="s">
        <v>39</v>
      </c>
      <c r="E13" s="7">
        <f>+ESTRUCTURAS!I45</f>
        <v>11</v>
      </c>
      <c r="F13" s="7">
        <v>47.16</v>
      </c>
      <c r="G13" s="8">
        <f aca="true" t="shared" si="2" ref="G13">+E13*F13</f>
        <v>518.76</v>
      </c>
      <c r="H13" s="7">
        <v>27.08</v>
      </c>
      <c r="I13" s="8">
        <f aca="true" t="shared" si="3" ref="I13">+H13*E13</f>
        <v>297.88</v>
      </c>
    </row>
    <row r="14" spans="2:9" ht="15">
      <c r="B14" s="10">
        <v>8</v>
      </c>
      <c r="C14" s="10" t="s">
        <v>136</v>
      </c>
      <c r="D14" s="7" t="s">
        <v>39</v>
      </c>
      <c r="E14" s="7">
        <f>+ESTRUCTURAS!I46</f>
        <v>22</v>
      </c>
      <c r="F14" s="7">
        <v>20.06</v>
      </c>
      <c r="G14" s="8">
        <f t="shared" si="0"/>
        <v>441.32</v>
      </c>
      <c r="H14" s="7">
        <v>16.83</v>
      </c>
      <c r="I14" s="8">
        <f t="shared" si="1"/>
        <v>370.26</v>
      </c>
    </row>
    <row r="15" spans="2:9" ht="15">
      <c r="B15" s="7">
        <v>9</v>
      </c>
      <c r="C15" s="10" t="s">
        <v>137</v>
      </c>
      <c r="D15" s="7" t="s">
        <v>39</v>
      </c>
      <c r="E15" s="7">
        <f>+ESTRUCTURAS!I48</f>
        <v>11</v>
      </c>
      <c r="F15" s="7">
        <v>14.93</v>
      </c>
      <c r="G15" s="8">
        <f t="shared" si="0"/>
        <v>164.23</v>
      </c>
      <c r="H15" s="7">
        <v>21.04</v>
      </c>
      <c r="I15" s="8">
        <f t="shared" si="1"/>
        <v>231.44</v>
      </c>
    </row>
    <row r="16" spans="2:9" ht="15">
      <c r="B16" s="10">
        <v>10</v>
      </c>
      <c r="C16" s="10" t="s">
        <v>138</v>
      </c>
      <c r="D16" s="7" t="s">
        <v>39</v>
      </c>
      <c r="E16" s="7">
        <f>+ESTRUCTURAS!I50</f>
        <v>5</v>
      </c>
      <c r="F16" s="7">
        <v>27.55</v>
      </c>
      <c r="G16" s="8">
        <f t="shared" si="0"/>
        <v>137.75</v>
      </c>
      <c r="H16" s="7">
        <v>42.08</v>
      </c>
      <c r="I16" s="8">
        <f t="shared" si="1"/>
        <v>210.39999999999998</v>
      </c>
    </row>
    <row r="17" spans="2:9" s="19" customFormat="1" ht="15">
      <c r="B17" s="7">
        <v>11</v>
      </c>
      <c r="C17" s="17" t="s">
        <v>134</v>
      </c>
      <c r="D17" s="17" t="s">
        <v>39</v>
      </c>
      <c r="E17" s="7">
        <f>+ESTRUCTURAS!I51</f>
        <v>24</v>
      </c>
      <c r="F17" s="17">
        <v>69.49</v>
      </c>
      <c r="G17" s="18">
        <f t="shared" si="0"/>
        <v>1667.7599999999998</v>
      </c>
      <c r="H17" s="17">
        <v>32.08</v>
      </c>
      <c r="I17" s="18">
        <f t="shared" si="1"/>
        <v>769.92</v>
      </c>
    </row>
    <row r="18" spans="2:9" s="19" customFormat="1" ht="15">
      <c r="B18" s="7">
        <v>13</v>
      </c>
      <c r="C18" s="17" t="s">
        <v>135</v>
      </c>
      <c r="D18" s="17" t="s">
        <v>39</v>
      </c>
      <c r="E18" s="7">
        <f>+ESTRUCTURAS!I55</f>
        <v>3</v>
      </c>
      <c r="F18" s="17">
        <v>60.61</v>
      </c>
      <c r="G18" s="18">
        <f t="shared" si="0"/>
        <v>181.82999999999998</v>
      </c>
      <c r="H18" s="17">
        <v>25.66</v>
      </c>
      <c r="I18" s="18">
        <f t="shared" si="1"/>
        <v>76.98</v>
      </c>
    </row>
    <row r="19" spans="2:9" s="19" customFormat="1" ht="15" customHeight="1">
      <c r="B19" s="10">
        <v>14</v>
      </c>
      <c r="C19" s="17" t="s">
        <v>132</v>
      </c>
      <c r="D19" s="17" t="s">
        <v>39</v>
      </c>
      <c r="E19" s="17">
        <f>+ESTRUCTURAS!I56</f>
        <v>7</v>
      </c>
      <c r="F19" s="17">
        <v>201.07</v>
      </c>
      <c r="G19" s="18">
        <f t="shared" si="0"/>
        <v>1407.49</v>
      </c>
      <c r="H19" s="17">
        <v>50.57</v>
      </c>
      <c r="I19" s="18">
        <f t="shared" si="1"/>
        <v>353.99</v>
      </c>
    </row>
    <row r="20" spans="2:9" s="19" customFormat="1" ht="15">
      <c r="B20" s="7">
        <v>15</v>
      </c>
      <c r="C20" s="17" t="s">
        <v>130</v>
      </c>
      <c r="D20" s="17" t="s">
        <v>39</v>
      </c>
      <c r="E20" s="17">
        <f>+ESTRUCTURAS!I57</f>
        <v>5</v>
      </c>
      <c r="F20" s="17">
        <v>453.5</v>
      </c>
      <c r="G20" s="18">
        <f t="shared" si="0"/>
        <v>2267.5</v>
      </c>
      <c r="H20" s="17">
        <v>39.15</v>
      </c>
      <c r="I20" s="18">
        <f t="shared" si="1"/>
        <v>195.75</v>
      </c>
    </row>
    <row r="21" spans="2:9" s="19" customFormat="1" ht="15">
      <c r="B21" s="10">
        <v>16</v>
      </c>
      <c r="C21" s="17" t="s">
        <v>40</v>
      </c>
      <c r="D21" s="17" t="s">
        <v>39</v>
      </c>
      <c r="E21" s="17">
        <f>+ESTRUCTURAS!I58</f>
        <v>4</v>
      </c>
      <c r="F21" s="17">
        <v>591.11</v>
      </c>
      <c r="G21" s="18">
        <f t="shared" si="0"/>
        <v>2364.44</v>
      </c>
      <c r="H21" s="17">
        <v>84.15</v>
      </c>
      <c r="I21" s="18">
        <f t="shared" si="1"/>
        <v>336.6</v>
      </c>
    </row>
    <row r="22" spans="2:9" s="19" customFormat="1" ht="15">
      <c r="B22" s="7">
        <v>17</v>
      </c>
      <c r="C22" s="17" t="s">
        <v>79</v>
      </c>
      <c r="D22" s="17" t="s">
        <v>39</v>
      </c>
      <c r="E22" s="17">
        <f>+ESTRUCTURAS!I59</f>
        <v>4</v>
      </c>
      <c r="F22" s="17">
        <v>1317.87</v>
      </c>
      <c r="G22" s="18">
        <f t="shared" si="0"/>
        <v>5271.48</v>
      </c>
      <c r="H22" s="17">
        <v>92.9</v>
      </c>
      <c r="I22" s="18">
        <f t="shared" si="1"/>
        <v>371.6</v>
      </c>
    </row>
    <row r="23" spans="2:9" s="19" customFormat="1" ht="15">
      <c r="B23" s="10">
        <v>18</v>
      </c>
      <c r="C23" s="20" t="s">
        <v>47</v>
      </c>
      <c r="D23" s="17" t="s">
        <v>39</v>
      </c>
      <c r="E23" s="17">
        <f>+ESTRUCTURAS!I60</f>
        <v>5</v>
      </c>
      <c r="F23" s="17">
        <v>126.52</v>
      </c>
      <c r="G23" s="18">
        <f t="shared" si="0"/>
        <v>632.6</v>
      </c>
      <c r="H23" s="17">
        <v>44.15</v>
      </c>
      <c r="I23" s="18">
        <f t="shared" si="1"/>
        <v>220.75</v>
      </c>
    </row>
    <row r="24" spans="2:9" s="19" customFormat="1" ht="15">
      <c r="B24" s="7">
        <v>19</v>
      </c>
      <c r="C24" s="20" t="s">
        <v>131</v>
      </c>
      <c r="D24" s="17" t="s">
        <v>39</v>
      </c>
      <c r="E24" s="17">
        <v>5</v>
      </c>
      <c r="F24" s="17">
        <v>49.2</v>
      </c>
      <c r="G24" s="18">
        <f t="shared" si="0"/>
        <v>246</v>
      </c>
      <c r="H24" s="17">
        <v>40.31</v>
      </c>
      <c r="I24" s="18">
        <f t="shared" si="1"/>
        <v>201.55</v>
      </c>
    </row>
    <row r="25" spans="2:9" s="19" customFormat="1" ht="15">
      <c r="B25" s="10">
        <v>20</v>
      </c>
      <c r="C25" s="17" t="s">
        <v>41</v>
      </c>
      <c r="D25" s="17" t="s">
        <v>39</v>
      </c>
      <c r="E25" s="17">
        <f>+ESTRUCTURAS!L38</f>
        <v>60</v>
      </c>
      <c r="F25" s="17"/>
      <c r="G25" s="18">
        <f t="shared" si="0"/>
        <v>0</v>
      </c>
      <c r="H25" s="17">
        <v>184.15</v>
      </c>
      <c r="I25" s="18">
        <f t="shared" si="1"/>
        <v>11049</v>
      </c>
    </row>
    <row r="26" spans="2:9" s="19" customFormat="1" ht="15">
      <c r="B26" s="7">
        <v>21</v>
      </c>
      <c r="C26" s="17" t="s">
        <v>42</v>
      </c>
      <c r="D26" s="17" t="s">
        <v>39</v>
      </c>
      <c r="E26" s="17">
        <f>+ESTRUCTURAS!L39</f>
        <v>4</v>
      </c>
      <c r="F26" s="17"/>
      <c r="G26" s="18">
        <f t="shared" si="0"/>
        <v>0</v>
      </c>
      <c r="H26" s="17">
        <v>192.9</v>
      </c>
      <c r="I26" s="18">
        <f t="shared" si="1"/>
        <v>771.6</v>
      </c>
    </row>
    <row r="27" spans="2:9" s="19" customFormat="1" ht="15">
      <c r="B27" s="10">
        <v>22</v>
      </c>
      <c r="C27" s="17" t="s">
        <v>78</v>
      </c>
      <c r="D27" s="17" t="s">
        <v>39</v>
      </c>
      <c r="E27" s="17">
        <f>+ESTRUCTURAS!I60</f>
        <v>5</v>
      </c>
      <c r="F27" s="17">
        <v>7.88</v>
      </c>
      <c r="G27" s="18">
        <f t="shared" si="0"/>
        <v>39.4</v>
      </c>
      <c r="H27" s="18">
        <v>7.45</v>
      </c>
      <c r="I27" s="18">
        <f t="shared" si="1"/>
        <v>37.25</v>
      </c>
    </row>
    <row r="28" spans="2:9" s="19" customFormat="1" ht="15">
      <c r="B28" s="7">
        <v>23</v>
      </c>
      <c r="C28" s="17" t="s">
        <v>127</v>
      </c>
      <c r="D28" s="17" t="s">
        <v>39</v>
      </c>
      <c r="E28" s="17">
        <v>1</v>
      </c>
      <c r="F28" s="17"/>
      <c r="G28" s="18">
        <f>+F28*E28</f>
        <v>0</v>
      </c>
      <c r="H28" s="18">
        <v>77.8</v>
      </c>
      <c r="I28" s="18">
        <f>+H28*E28</f>
        <v>77.8</v>
      </c>
    </row>
    <row r="29" spans="2:9" s="25" customFormat="1" ht="15">
      <c r="B29" s="7">
        <v>25</v>
      </c>
      <c r="C29" s="23" t="s">
        <v>48</v>
      </c>
      <c r="D29" s="23" t="s">
        <v>34</v>
      </c>
      <c r="E29" s="23">
        <v>1021</v>
      </c>
      <c r="F29" s="23"/>
      <c r="G29" s="24">
        <f t="shared" si="0"/>
        <v>0</v>
      </c>
      <c r="H29" s="24">
        <v>0.64</v>
      </c>
      <c r="I29" s="24">
        <f t="shared" si="1"/>
        <v>653.44</v>
      </c>
    </row>
    <row r="30" spans="2:9" s="19" customFormat="1" ht="15">
      <c r="B30" s="10">
        <v>26</v>
      </c>
      <c r="C30" s="17" t="s">
        <v>60</v>
      </c>
      <c r="D30" s="17" t="s">
        <v>39</v>
      </c>
      <c r="E30" s="17">
        <v>3</v>
      </c>
      <c r="F30" s="17"/>
      <c r="G30" s="18">
        <f t="shared" si="0"/>
        <v>0</v>
      </c>
      <c r="H30" s="18">
        <v>112.9</v>
      </c>
      <c r="I30" s="18">
        <f t="shared" si="1"/>
        <v>338.70000000000005</v>
      </c>
    </row>
    <row r="31" spans="2:9" s="19" customFormat="1" ht="15">
      <c r="B31" s="7">
        <v>27</v>
      </c>
      <c r="C31" s="17" t="s">
        <v>89</v>
      </c>
      <c r="D31" s="17" t="s">
        <v>39</v>
      </c>
      <c r="E31" s="17">
        <v>4</v>
      </c>
      <c r="F31" s="17"/>
      <c r="G31" s="18">
        <f t="shared" si="0"/>
        <v>0</v>
      </c>
      <c r="H31" s="18">
        <v>62.9</v>
      </c>
      <c r="I31" s="18">
        <f t="shared" si="1"/>
        <v>251.6</v>
      </c>
    </row>
    <row r="32" spans="2:9" s="19" customFormat="1" ht="15">
      <c r="B32" s="10">
        <v>28</v>
      </c>
      <c r="C32" s="17" t="s">
        <v>65</v>
      </c>
      <c r="D32" s="17" t="s">
        <v>66</v>
      </c>
      <c r="E32" s="17">
        <v>1.5</v>
      </c>
      <c r="F32" s="17"/>
      <c r="G32" s="18">
        <f t="shared" si="0"/>
        <v>0</v>
      </c>
      <c r="H32" s="18">
        <v>496.6</v>
      </c>
      <c r="I32" s="18">
        <f t="shared" si="1"/>
        <v>744.9000000000001</v>
      </c>
    </row>
    <row r="33" spans="7:9" ht="15">
      <c r="G33">
        <v>1</v>
      </c>
      <c r="H33" s="13" t="s">
        <v>37</v>
      </c>
      <c r="I33" s="21">
        <f>SUM(G6:G32)</f>
        <v>51653.20000000001</v>
      </c>
    </row>
    <row r="34" spans="7:9" ht="15">
      <c r="G34">
        <v>2</v>
      </c>
      <c r="H34" s="6" t="s">
        <v>43</v>
      </c>
      <c r="I34" s="9">
        <f>SUM(I6:I32)</f>
        <v>29124.8</v>
      </c>
    </row>
    <row r="35" spans="8:11" ht="15">
      <c r="H35" s="6" t="s">
        <v>44</v>
      </c>
      <c r="I35" s="9">
        <f>+I33+I34</f>
        <v>80778.00000000001</v>
      </c>
      <c r="K35" s="4"/>
    </row>
    <row r="36" spans="8:9" ht="15">
      <c r="H36" s="6" t="s">
        <v>45</v>
      </c>
      <c r="I36" s="9">
        <f>+I35*0.12</f>
        <v>9693.36</v>
      </c>
    </row>
    <row r="37" spans="8:9" ht="15">
      <c r="H37" s="6" t="s">
        <v>21</v>
      </c>
      <c r="I37" s="9">
        <f>+I35+I36</f>
        <v>90471.36000000002</v>
      </c>
    </row>
  </sheetData>
  <mergeCells count="1">
    <mergeCell ref="B3:I3"/>
  </mergeCells>
  <printOptions/>
  <pageMargins left="0.7" right="0.7" top="0.75" bottom="0.75" header="0.3" footer="0.3"/>
  <pageSetup fitToHeight="1" fitToWidth="1" horizontalDpi="600" verticalDpi="600" orientation="landscape" scale="58" r:id="rId1"/>
  <ignoredErrors>
    <ignoredError sqref="I36 G2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Gabriel GL. Lozano</dc:creator>
  <cp:keywords/>
  <dc:description/>
  <cp:lastModifiedBy>Cesar Patino</cp:lastModifiedBy>
  <cp:lastPrinted>2019-05-23T16:23:50Z</cp:lastPrinted>
  <dcterms:created xsi:type="dcterms:W3CDTF">2019-02-08T18:18:07Z</dcterms:created>
  <dcterms:modified xsi:type="dcterms:W3CDTF">2021-03-03T15:21:11Z</dcterms:modified>
  <cp:category/>
  <cp:version/>
  <cp:contentType/>
  <cp:contentStatus/>
</cp:coreProperties>
</file>